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133_b" sheetId="1" r:id="rId1"/>
    <sheet name="132_b" sheetId="2" r:id="rId2"/>
    <sheet name="зачет_пересд" sheetId="3" r:id="rId3"/>
    <sheet name="допса" sheetId="4" r:id="rId4"/>
  </sheets>
  <definedNames/>
  <calcPr fullCalcOnLoad="1"/>
</workbook>
</file>

<file path=xl/comments1.xml><?xml version="1.0" encoding="utf-8"?>
<comments xmlns="http://schemas.openxmlformats.org/spreadsheetml/2006/main">
  <authors>
    <author>BADA</author>
  </authors>
  <commentList>
    <comment ref="L4" authorId="0">
      <text>
        <r>
          <rPr>
            <b/>
            <sz val="9"/>
            <rFont val="Tahoma"/>
            <family val="2"/>
          </rPr>
          <t>BADA:</t>
        </r>
        <r>
          <rPr>
            <sz val="9"/>
            <rFont val="Tahoma"/>
            <family val="2"/>
          </rPr>
          <t xml:space="preserve">
использована чужая работа, к допсе сделана новая работа</t>
        </r>
      </text>
    </comment>
    <comment ref="L11" authorId="0">
      <text>
        <r>
          <rPr>
            <b/>
            <sz val="9"/>
            <rFont val="Tahoma"/>
            <family val="2"/>
          </rPr>
          <t>BADA:</t>
        </r>
        <r>
          <rPr>
            <sz val="9"/>
            <rFont val="Tahoma"/>
            <family val="2"/>
          </rPr>
          <t xml:space="preserve">
использована чужая работа, к допсе сделана новая работа</t>
        </r>
      </text>
    </comment>
    <comment ref="M7" authorId="0">
      <text>
        <r>
          <rPr>
            <b/>
            <sz val="9"/>
            <rFont val="Tahoma"/>
            <family val="2"/>
          </rPr>
          <t>BADA:</t>
        </r>
        <r>
          <rPr>
            <sz val="9"/>
            <rFont val="Tahoma"/>
            <family val="2"/>
          </rPr>
          <t xml:space="preserve">
оценка занятий у Е.Покрышевской
</t>
        </r>
      </text>
    </comment>
    <comment ref="M15" authorId="0">
      <text>
        <r>
          <rPr>
            <b/>
            <sz val="9"/>
            <rFont val="Tahoma"/>
            <family val="2"/>
          </rPr>
          <t>BADA:</t>
        </r>
        <r>
          <rPr>
            <sz val="9"/>
            <rFont val="Tahoma"/>
            <family val="2"/>
          </rPr>
          <t xml:space="preserve">
оценка занятий у Е.Покрышевской</t>
        </r>
      </text>
    </comment>
    <comment ref="M11" authorId="0">
      <text>
        <r>
          <rPr>
            <b/>
            <sz val="9"/>
            <rFont val="Tahoma"/>
            <family val="2"/>
          </rPr>
          <t>BADA:</t>
        </r>
        <r>
          <rPr>
            <sz val="9"/>
            <rFont val="Tahoma"/>
            <family val="2"/>
          </rPr>
          <t xml:space="preserve">
оценка занятий у Ею Антипова</t>
        </r>
      </text>
    </comment>
    <comment ref="Q3" authorId="0">
      <text>
        <r>
          <rPr>
            <b/>
            <sz val="9"/>
            <rFont val="Tahoma"/>
            <family val="0"/>
          </rPr>
          <t>BADA:</t>
        </r>
        <r>
          <rPr>
            <sz val="9"/>
            <rFont val="Tahoma"/>
            <family val="0"/>
          </rPr>
          <t xml:space="preserve">
после допсы
</t>
        </r>
      </text>
    </comment>
    <comment ref="Q4" authorId="0">
      <text>
        <r>
          <rPr>
            <b/>
            <sz val="9"/>
            <rFont val="Tahoma"/>
            <family val="0"/>
          </rPr>
          <t>BADA:</t>
        </r>
        <r>
          <rPr>
            <sz val="9"/>
            <rFont val="Tahoma"/>
            <family val="0"/>
          </rPr>
          <t xml:space="preserve">
после допсы</t>
        </r>
      </text>
    </comment>
    <comment ref="Q8" authorId="0">
      <text>
        <r>
          <rPr>
            <b/>
            <sz val="9"/>
            <rFont val="Tahoma"/>
            <family val="0"/>
          </rPr>
          <t>BADA:</t>
        </r>
        <r>
          <rPr>
            <sz val="9"/>
            <rFont val="Tahoma"/>
            <family val="0"/>
          </rPr>
          <t xml:space="preserve">
после допсы</t>
        </r>
      </text>
    </comment>
    <comment ref="Q9" authorId="0">
      <text>
        <r>
          <rPr>
            <b/>
            <sz val="9"/>
            <rFont val="Tahoma"/>
            <family val="0"/>
          </rPr>
          <t>BADA:</t>
        </r>
        <r>
          <rPr>
            <sz val="9"/>
            <rFont val="Tahoma"/>
            <family val="0"/>
          </rPr>
          <t xml:space="preserve">
на допсе не был
</t>
        </r>
      </text>
    </comment>
    <comment ref="Q10" authorId="0">
      <text>
        <r>
          <rPr>
            <b/>
            <sz val="9"/>
            <rFont val="Tahoma"/>
            <family val="0"/>
          </rPr>
          <t>BADA:</t>
        </r>
        <r>
          <rPr>
            <sz val="9"/>
            <rFont val="Tahoma"/>
            <family val="0"/>
          </rPr>
          <t xml:space="preserve">
после допсы:</t>
        </r>
      </text>
    </comment>
    <comment ref="Q11" authorId="0">
      <text>
        <r>
          <rPr>
            <b/>
            <sz val="9"/>
            <rFont val="Tahoma"/>
            <family val="0"/>
          </rPr>
          <t>BADA:</t>
        </r>
        <r>
          <rPr>
            <sz val="9"/>
            <rFont val="Tahoma"/>
            <family val="0"/>
          </rPr>
          <t xml:space="preserve">
после допсы:</t>
        </r>
      </text>
    </comment>
  </commentList>
</comments>
</file>

<file path=xl/comments2.xml><?xml version="1.0" encoding="utf-8"?>
<comments xmlns="http://schemas.openxmlformats.org/spreadsheetml/2006/main">
  <authors>
    <author>BADA</author>
  </authors>
  <commentList>
    <comment ref="L5" authorId="0">
      <text>
        <r>
          <rPr>
            <b/>
            <sz val="9"/>
            <rFont val="Tahoma"/>
            <family val="0"/>
          </rPr>
          <t>BADA:</t>
        </r>
        <r>
          <rPr>
            <sz val="9"/>
            <rFont val="Tahoma"/>
            <family val="0"/>
          </rPr>
          <t xml:space="preserve">
нет работы, работа сдана на допсе, итог после допсы
</t>
        </r>
      </text>
    </comment>
    <comment ref="L7" authorId="0">
      <text>
        <r>
          <rPr>
            <b/>
            <sz val="9"/>
            <rFont val="Tahoma"/>
            <family val="2"/>
          </rPr>
          <t>BADA:</t>
        </r>
        <r>
          <rPr>
            <sz val="9"/>
            <rFont val="Tahoma"/>
            <family val="2"/>
          </rPr>
          <t xml:space="preserve">
нет работы, работа сдана, итог
после допсы</t>
        </r>
      </text>
    </comment>
    <comment ref="L8" authorId="0">
      <text>
        <r>
          <rPr>
            <b/>
            <sz val="9"/>
            <rFont val="Tahoma"/>
            <family val="2"/>
          </rPr>
          <t>BADA:</t>
        </r>
        <r>
          <rPr>
            <sz val="9"/>
            <rFont val="Tahoma"/>
            <family val="2"/>
          </rPr>
          <t xml:space="preserve">
 Использована чужая отчётная работа (Циколия Нелли), выполненная в прошлом году</t>
        </r>
      </text>
    </comment>
    <comment ref="M8" authorId="0">
      <text>
        <r>
          <rPr>
            <b/>
            <sz val="9"/>
            <rFont val="Tahoma"/>
            <family val="2"/>
          </rPr>
          <t>BADA:</t>
        </r>
        <r>
          <rPr>
            <sz val="9"/>
            <rFont val="Tahoma"/>
            <family val="2"/>
          </rPr>
          <t xml:space="preserve">
оценка занятий с учетом посещения занятий И.Светунькова</t>
        </r>
      </text>
    </comment>
    <comment ref="Q5" authorId="0">
      <text>
        <r>
          <rPr>
            <b/>
            <sz val="9"/>
            <rFont val="Tahoma"/>
            <family val="0"/>
          </rPr>
          <t>BADA:</t>
        </r>
        <r>
          <rPr>
            <sz val="9"/>
            <rFont val="Tahoma"/>
            <family val="0"/>
          </rPr>
          <t xml:space="preserve">
после допсы
</t>
        </r>
      </text>
    </comment>
    <comment ref="Q6" authorId="0">
      <text>
        <r>
          <rPr>
            <b/>
            <sz val="9"/>
            <rFont val="Tahoma"/>
            <family val="0"/>
          </rPr>
          <t>BADA:</t>
        </r>
        <r>
          <rPr>
            <sz val="9"/>
            <rFont val="Tahoma"/>
            <family val="0"/>
          </rPr>
          <t xml:space="preserve">
после допсы</t>
        </r>
      </text>
    </comment>
    <comment ref="Q7" authorId="0">
      <text>
        <r>
          <rPr>
            <b/>
            <sz val="9"/>
            <rFont val="Tahoma"/>
            <family val="0"/>
          </rPr>
          <t>BADA:</t>
        </r>
        <r>
          <rPr>
            <sz val="9"/>
            <rFont val="Tahoma"/>
            <family val="0"/>
          </rPr>
          <t xml:space="preserve">
после допсы</t>
        </r>
      </text>
    </comment>
    <comment ref="Q8" authorId="0">
      <text>
        <r>
          <rPr>
            <b/>
            <sz val="9"/>
            <rFont val="Tahoma"/>
            <family val="0"/>
          </rPr>
          <t>BADA:</t>
        </r>
        <r>
          <rPr>
            <sz val="9"/>
            <rFont val="Tahoma"/>
            <family val="0"/>
          </rPr>
          <t xml:space="preserve">
после допсы</t>
        </r>
      </text>
    </comment>
    <comment ref="Q11" authorId="0">
      <text>
        <r>
          <rPr>
            <b/>
            <sz val="9"/>
            <rFont val="Tahoma"/>
            <family val="0"/>
          </rPr>
          <t>BADA:</t>
        </r>
        <r>
          <rPr>
            <sz val="9"/>
            <rFont val="Tahoma"/>
            <family val="0"/>
          </rPr>
          <t xml:space="preserve">
после допсы</t>
        </r>
      </text>
    </comment>
    <comment ref="Q9" authorId="0">
      <text>
        <r>
          <rPr>
            <b/>
            <sz val="9"/>
            <rFont val="Tahoma"/>
            <family val="0"/>
          </rPr>
          <t>BADA:</t>
        </r>
        <r>
          <rPr>
            <sz val="9"/>
            <rFont val="Tahoma"/>
            <family val="0"/>
          </rPr>
          <t xml:space="preserve">
после допсы</t>
        </r>
      </text>
    </comment>
  </commentList>
</comments>
</file>

<file path=xl/sharedStrings.xml><?xml version="1.0" encoding="utf-8"?>
<sst xmlns="http://schemas.openxmlformats.org/spreadsheetml/2006/main" count="134" uniqueCount="48">
  <si>
    <t>Имя</t>
  </si>
  <si>
    <t>вес</t>
  </si>
  <si>
    <t>Зачет по 10-балльной шкале</t>
  </si>
  <si>
    <t>Давыдова Екатерина</t>
  </si>
  <si>
    <t>Важесова Юлия</t>
  </si>
  <si>
    <t>Васильева Анастасия</t>
  </si>
  <si>
    <t>Васильева Татьяна</t>
  </si>
  <si>
    <t>Волкова Дарья</t>
  </si>
  <si>
    <t>Ким Евгения</t>
  </si>
  <si>
    <t>Коломыц Наталья</t>
  </si>
  <si>
    <t>Ольнева Дарья</t>
  </si>
  <si>
    <t>Рубанова Ананстасия</t>
  </si>
  <si>
    <t>Салимов Тимур</t>
  </si>
  <si>
    <t>Солдатова Анастасия</t>
  </si>
  <si>
    <t>Янченко Анастасия</t>
  </si>
  <si>
    <t>Занятия</t>
  </si>
  <si>
    <t>Тесты</t>
  </si>
  <si>
    <t>Накопленная</t>
  </si>
  <si>
    <t>Зачёт (200)</t>
  </si>
  <si>
    <t>НЕЗАЧЕТ</t>
  </si>
  <si>
    <t>Результирующая оценка за первое полугодие</t>
  </si>
  <si>
    <t>Адаменко Татьяна</t>
  </si>
  <si>
    <t>Березкина Алина</t>
  </si>
  <si>
    <t>Галактионов Илья</t>
  </si>
  <si>
    <t>Зайнулин Денис</t>
  </si>
  <si>
    <t>Зартдинов Олег</t>
  </si>
  <si>
    <t>Зубкова Юлия</t>
  </si>
  <si>
    <t>Ильина Ольга</t>
  </si>
  <si>
    <t>Кожемякин Артем</t>
  </si>
  <si>
    <t>Новокрещенов Александр</t>
  </si>
  <si>
    <t>Сигаев Даниил</t>
  </si>
  <si>
    <t>Сколкова Алена</t>
  </si>
  <si>
    <t>Смирнова Маргарита</t>
  </si>
  <si>
    <t>Чудинова Екатерина</t>
  </si>
  <si>
    <t>Шкилевич Ирина</t>
  </si>
  <si>
    <t>ЗАЧЕТ</t>
  </si>
  <si>
    <t>кр1</t>
  </si>
  <si>
    <t>отчетная 1</t>
  </si>
  <si>
    <t>отчетная 2</t>
  </si>
  <si>
    <t>кр2</t>
  </si>
  <si>
    <t>ВЕС</t>
  </si>
  <si>
    <t>Накопленная в 1 п/г</t>
  </si>
  <si>
    <t>Накопленная во 2 п/г</t>
  </si>
  <si>
    <t>Накопленная за год</t>
  </si>
  <si>
    <t xml:space="preserve">экзамен </t>
  </si>
  <si>
    <t>итог</t>
  </si>
  <si>
    <t>Допса - балл</t>
  </si>
  <si>
    <t>Оценка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</si>
</sst>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0.0000"/>
    <numFmt numFmtId="187" formatCode="0.000"/>
    <numFmt numFmtId="188" formatCode="0.00000000"/>
    <numFmt numFmtId="189" formatCode="0.0000000"/>
    <numFmt numFmtId="190" formatCode="0.000000"/>
    <numFmt numFmtId="191" formatCode="0.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/>
      <right style="medium"/>
      <top style="medium"/>
      <bottom style="medium"/>
    </border>
    <border>
      <left style="thin">
        <color indexed="56"/>
      </left>
      <right style="thin">
        <color indexed="56"/>
      </right>
      <top style="medium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 style="medium">
        <color indexed="56"/>
      </left>
      <right style="medium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 style="medium"/>
      <bottom style="medium"/>
    </border>
    <border>
      <left style="medium">
        <color indexed="56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thin">
        <color indexed="56"/>
      </right>
      <top>
        <color indexed="63"/>
      </top>
      <bottom style="medium"/>
    </border>
    <border>
      <left style="thin">
        <color indexed="56"/>
      </left>
      <right style="thin">
        <color indexed="56"/>
      </right>
      <top>
        <color indexed="63"/>
      </top>
      <bottom style="medium"/>
    </border>
    <border>
      <left style="medium">
        <color indexed="56"/>
      </left>
      <right style="medium">
        <color indexed="56"/>
      </right>
      <top>
        <color indexed="63"/>
      </top>
      <bottom style="medium"/>
    </border>
    <border>
      <left style="medium">
        <color indexed="56"/>
      </left>
      <right style="thin">
        <color indexed="56"/>
      </right>
      <top style="thin">
        <color indexed="56"/>
      </top>
      <bottom style="medium"/>
    </border>
    <border>
      <left style="thin">
        <color indexed="56"/>
      </left>
      <right style="thin">
        <color indexed="56"/>
      </right>
      <top style="thin">
        <color indexed="56"/>
      </top>
      <bottom style="medium"/>
    </border>
    <border>
      <left style="medium">
        <color indexed="56"/>
      </left>
      <right style="medium">
        <color indexed="56"/>
      </right>
      <top style="thin">
        <color indexed="56"/>
      </top>
      <bottom style="medium"/>
    </border>
    <border>
      <left style="medium">
        <color indexed="56"/>
      </left>
      <right style="thin">
        <color indexed="56"/>
      </right>
      <top style="medium">
        <color indexed="56"/>
      </top>
      <bottom style="medium">
        <color indexed="56"/>
      </bottom>
    </border>
    <border>
      <left style="medium"/>
      <right style="thin">
        <color indexed="56"/>
      </right>
      <top style="thin">
        <color indexed="56"/>
      </top>
      <bottom style="medium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thin"/>
      <right style="thin"/>
      <top style="thin"/>
      <bottom style="thin"/>
    </border>
    <border>
      <left style="thin">
        <color indexed="56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56"/>
      </left>
      <right style="thin">
        <color indexed="56"/>
      </right>
      <top style="medium">
        <color indexed="56"/>
      </top>
      <bottom style="medium"/>
    </border>
    <border>
      <left style="medium">
        <color indexed="56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56"/>
      </left>
      <right style="thin"/>
      <top style="medium"/>
      <bottom>
        <color indexed="63"/>
      </bottom>
    </border>
    <border>
      <left style="thin">
        <color indexed="56"/>
      </left>
      <right style="thin"/>
      <top>
        <color indexed="63"/>
      </top>
      <bottom>
        <color indexed="63"/>
      </bottom>
    </border>
    <border>
      <left style="thin">
        <color indexed="56"/>
      </left>
      <right style="thin"/>
      <top>
        <color indexed="63"/>
      </top>
      <bottom style="medium"/>
    </border>
    <border>
      <left style="medium"/>
      <right style="thin">
        <color indexed="56"/>
      </right>
      <top style="medium"/>
      <bottom style="medium"/>
    </border>
    <border>
      <left style="thin">
        <color indexed="56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0" fontId="0" fillId="32" borderId="16" xfId="0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1" fontId="4" fillId="35" borderId="15" xfId="0" applyNumberFormat="1" applyFont="1" applyFill="1" applyBorder="1" applyAlignment="1">
      <alignment horizontal="center"/>
    </xf>
    <xf numFmtId="1" fontId="0" fillId="32" borderId="20" xfId="0" applyNumberForma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Font="1" applyBorder="1" applyAlignment="1">
      <alignment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32" borderId="32" xfId="0" applyNumberFormat="1" applyFill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0" fillId="0" borderId="34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1" fontId="0" fillId="38" borderId="15" xfId="0" applyNumberForma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1" fontId="4" fillId="39" borderId="15" xfId="0" applyNumberFormat="1" applyFont="1" applyFill="1" applyBorder="1" applyAlignment="1">
      <alignment horizontal="center"/>
    </xf>
    <xf numFmtId="1" fontId="0" fillId="38" borderId="32" xfId="0" applyNumberFormat="1" applyFill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1" fontId="4" fillId="35" borderId="20" xfId="0" applyNumberFormat="1" applyFont="1" applyFill="1" applyBorder="1" applyAlignment="1">
      <alignment horizontal="center"/>
    </xf>
    <xf numFmtId="1" fontId="0" fillId="32" borderId="37" xfId="0" applyNumberForma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" fontId="4" fillId="35" borderId="39" xfId="0" applyNumberFormat="1" applyFont="1" applyFill="1" applyBorder="1" applyAlignment="1">
      <alignment horizontal="center"/>
    </xf>
    <xf numFmtId="0" fontId="4" fillId="37" borderId="40" xfId="0" applyFont="1" applyFill="1" applyBorder="1" applyAlignment="1">
      <alignment horizontal="center"/>
    </xf>
    <xf numFmtId="0" fontId="6" fillId="37" borderId="40" xfId="0" applyFont="1" applyFill="1" applyBorder="1" applyAlignment="1">
      <alignment horizontal="center" vertical="center"/>
    </xf>
    <xf numFmtId="0" fontId="0" fillId="37" borderId="40" xfId="0" applyFill="1" applyBorder="1" applyAlignment="1">
      <alignment horizontal="center"/>
    </xf>
    <xf numFmtId="1" fontId="0" fillId="40" borderId="15" xfId="0" applyNumberForma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185" fontId="0" fillId="0" borderId="0" xfId="0" applyNumberFormat="1" applyAlignment="1">
      <alignment/>
    </xf>
    <xf numFmtId="1" fontId="4" fillId="41" borderId="15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0" fontId="4" fillId="0" borderId="42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" fontId="0" fillId="0" borderId="40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" fontId="0" fillId="0" borderId="44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" fontId="4" fillId="0" borderId="14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1" fontId="0" fillId="0" borderId="42" xfId="0" applyNumberForma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48" xfId="0" applyBorder="1" applyAlignment="1">
      <alignment/>
    </xf>
    <xf numFmtId="0" fontId="5" fillId="0" borderId="42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4" fillId="10" borderId="19" xfId="0" applyFont="1" applyFill="1" applyBorder="1" applyAlignment="1">
      <alignment horizontal="center"/>
    </xf>
    <xf numFmtId="1" fontId="4" fillId="10" borderId="38" xfId="0" applyNumberFormat="1" applyFont="1" applyFill="1" applyBorder="1" applyAlignment="1">
      <alignment horizontal="center"/>
    </xf>
    <xf numFmtId="1" fontId="4" fillId="10" borderId="19" xfId="0" applyNumberFormat="1" applyFont="1" applyFill="1" applyBorder="1" applyAlignment="1">
      <alignment horizontal="center"/>
    </xf>
    <xf numFmtId="1" fontId="4" fillId="34" borderId="40" xfId="0" applyNumberFormat="1" applyFont="1" applyFill="1" applyBorder="1" applyAlignment="1">
      <alignment horizontal="center" vertical="center"/>
    </xf>
    <xf numFmtId="1" fontId="4" fillId="34" borderId="44" xfId="0" applyNumberFormat="1" applyFont="1" applyFill="1" applyBorder="1" applyAlignment="1">
      <alignment horizontal="center" vertical="center"/>
    </xf>
    <xf numFmtId="1" fontId="4" fillId="10" borderId="45" xfId="0" applyNumberFormat="1" applyFont="1" applyFill="1" applyBorder="1" applyAlignment="1">
      <alignment horizontal="center" vertical="center"/>
    </xf>
    <xf numFmtId="1" fontId="4" fillId="10" borderId="40" xfId="0" applyNumberFormat="1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 wrapText="1"/>
    </xf>
    <xf numFmtId="1" fontId="4" fillId="34" borderId="45" xfId="0" applyNumberFormat="1" applyFont="1" applyFill="1" applyBorder="1" applyAlignment="1">
      <alignment horizontal="center" vertical="center"/>
    </xf>
    <xf numFmtId="1" fontId="4" fillId="42" borderId="40" xfId="0" applyNumberFormat="1" applyFont="1" applyFill="1" applyBorder="1" applyAlignment="1">
      <alignment horizontal="center" vertical="center"/>
    </xf>
    <xf numFmtId="0" fontId="4" fillId="42" borderId="36" xfId="0" applyFont="1" applyFill="1" applyBorder="1" applyAlignment="1">
      <alignment horizontal="center"/>
    </xf>
    <xf numFmtId="0" fontId="0" fillId="0" borderId="52" xfId="34" applyFont="1" applyBorder="1">
      <alignment/>
      <protection/>
    </xf>
    <xf numFmtId="0" fontId="0" fillId="43" borderId="53" xfId="34" applyFont="1" applyFill="1" applyBorder="1">
      <alignment/>
      <protection/>
    </xf>
    <xf numFmtId="0" fontId="0" fillId="0" borderId="54" xfId="0" applyBorder="1" applyAlignment="1">
      <alignment/>
    </xf>
    <xf numFmtId="0" fontId="0" fillId="4" borderId="55" xfId="0" applyFill="1" applyBorder="1" applyAlignment="1">
      <alignment/>
    </xf>
    <xf numFmtId="0" fontId="0" fillId="0" borderId="56" xfId="0" applyBorder="1" applyAlignment="1">
      <alignment/>
    </xf>
    <xf numFmtId="0" fontId="0" fillId="4" borderId="57" xfId="0" applyFill="1" applyBorder="1" applyAlignment="1">
      <alignment/>
    </xf>
    <xf numFmtId="0" fontId="0" fillId="0" borderId="58" xfId="0" applyBorder="1" applyAlignment="1">
      <alignment/>
    </xf>
    <xf numFmtId="1" fontId="4" fillId="10" borderId="44" xfId="0" applyNumberFormat="1" applyFont="1" applyFill="1" applyBorder="1" applyAlignment="1">
      <alignment horizontal="center" vertical="center"/>
    </xf>
    <xf numFmtId="0" fontId="0" fillId="0" borderId="59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132-rep2" xfId="33"/>
    <cellStyle name="Normal_132-rep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b val="0"/>
        <color indexed="10"/>
      </font>
    </dxf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90" zoomScaleNormal="90" zoomScalePageLayoutView="0" workbookViewId="0" topLeftCell="A1">
      <pane xSplit="1" ySplit="1" topLeftCell="G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24" sqref="Q24"/>
    </sheetView>
  </sheetViews>
  <sheetFormatPr defaultColWidth="9.140625" defaultRowHeight="12.75"/>
  <cols>
    <col min="1" max="1" width="24.57421875" style="0" customWidth="1"/>
    <col min="2" max="3" width="11.28125" style="0" customWidth="1"/>
    <col min="4" max="4" width="13.28125" style="0" customWidth="1"/>
    <col min="5" max="5" width="11.28125" style="0" customWidth="1"/>
    <col min="6" max="6" width="15.00390625" style="0" customWidth="1"/>
    <col min="7" max="7" width="17.140625" style="0" customWidth="1"/>
    <col min="11" max="11" width="12.7109375" style="0" customWidth="1"/>
    <col min="12" max="12" width="12.28125" style="0" customWidth="1"/>
    <col min="15" max="15" width="13.421875" style="0" customWidth="1"/>
    <col min="16" max="16" width="14.8515625" style="0" customWidth="1"/>
    <col min="17" max="17" width="12.00390625" style="0" customWidth="1"/>
  </cols>
  <sheetData>
    <row r="1" spans="1:18" ht="104.25" customHeight="1" thickBot="1">
      <c r="A1" s="1" t="s">
        <v>0</v>
      </c>
      <c r="B1" s="25" t="s">
        <v>15</v>
      </c>
      <c r="C1" s="26" t="s">
        <v>16</v>
      </c>
      <c r="D1" s="26" t="s">
        <v>17</v>
      </c>
      <c r="E1" s="7" t="s">
        <v>18</v>
      </c>
      <c r="F1" s="8" t="s">
        <v>2</v>
      </c>
      <c r="G1" s="9" t="s">
        <v>20</v>
      </c>
      <c r="H1" s="51"/>
      <c r="I1" s="52" t="s">
        <v>36</v>
      </c>
      <c r="J1" s="52" t="s">
        <v>39</v>
      </c>
      <c r="K1" s="52" t="s">
        <v>37</v>
      </c>
      <c r="L1" s="52" t="s">
        <v>38</v>
      </c>
      <c r="M1" s="52" t="s">
        <v>15</v>
      </c>
      <c r="N1" s="52" t="s">
        <v>16</v>
      </c>
      <c r="O1" s="69" t="s">
        <v>42</v>
      </c>
      <c r="P1" s="69" t="s">
        <v>43</v>
      </c>
      <c r="Q1" s="8" t="s">
        <v>44</v>
      </c>
      <c r="R1" s="9" t="s">
        <v>45</v>
      </c>
    </row>
    <row r="2" spans="1:18" ht="12.75">
      <c r="A2" s="2" t="s">
        <v>21</v>
      </c>
      <c r="B2" s="4">
        <v>5</v>
      </c>
      <c r="C2" s="5">
        <v>8</v>
      </c>
      <c r="D2" s="5">
        <f aca="true" t="shared" si="0" ref="D2:D15">AVERAGE(B2:C2)</f>
        <v>6.5</v>
      </c>
      <c r="E2" s="34">
        <f>зачет_пересд!E3</f>
        <v>90</v>
      </c>
      <c r="F2" s="35">
        <f aca="true" t="shared" si="1" ref="F2:F9">ROUND(E2/200*10,0)</f>
        <v>5</v>
      </c>
      <c r="G2" s="36">
        <f aca="true" t="shared" si="2" ref="G2:G9">B2*B$16+C2*C$16+F2*F$16</f>
        <v>5.6</v>
      </c>
      <c r="I2" s="55">
        <f>28/8</f>
        <v>3.5</v>
      </c>
      <c r="J2" s="56">
        <v>6</v>
      </c>
      <c r="K2" s="55">
        <f>84/12</f>
        <v>7</v>
      </c>
      <c r="L2" s="56">
        <v>9</v>
      </c>
      <c r="M2" s="56">
        <v>3</v>
      </c>
      <c r="N2" s="56">
        <v>10</v>
      </c>
      <c r="O2" s="63">
        <f>SUMPRODUCT(I2:N2,I$16:N$16)/0.5</f>
        <v>6.4</v>
      </c>
      <c r="P2" s="63">
        <f>(G2*G$17+O2*O$17)/0.6</f>
        <v>6.2666666666666675</v>
      </c>
      <c r="Q2" s="78">
        <v>5</v>
      </c>
      <c r="R2" s="81">
        <f>P2*P$18+Q2*Q$18</f>
        <v>5.76</v>
      </c>
    </row>
    <row r="3" spans="1:18" ht="12.75">
      <c r="A3" s="3" t="s">
        <v>22</v>
      </c>
      <c r="B3" s="4">
        <v>4</v>
      </c>
      <c r="C3" s="5">
        <v>9</v>
      </c>
      <c r="D3" s="5">
        <f t="shared" si="0"/>
        <v>6.5</v>
      </c>
      <c r="E3" s="34">
        <f>зачет_пересд!E4</f>
        <v>95</v>
      </c>
      <c r="F3" s="35">
        <f t="shared" si="1"/>
        <v>5</v>
      </c>
      <c r="G3" s="36">
        <f t="shared" si="2"/>
        <v>5.6</v>
      </c>
      <c r="I3" s="55">
        <f>24/8</f>
        <v>3</v>
      </c>
      <c r="J3" s="56">
        <v>6</v>
      </c>
      <c r="K3" s="55">
        <f>105/12</f>
        <v>8.75</v>
      </c>
      <c r="L3" s="56">
        <v>8</v>
      </c>
      <c r="M3" s="56">
        <v>3</v>
      </c>
      <c r="N3" s="56">
        <v>9</v>
      </c>
      <c r="O3" s="63">
        <f aca="true" t="shared" si="3" ref="O3:O15">SUMPRODUCT(I3:N3,I$16:N$16)/0.5</f>
        <v>6.3500000000000005</v>
      </c>
      <c r="P3" s="63">
        <f aca="true" t="shared" si="4" ref="P3:P15">(G3*G$17+O3*O$17)/0.6</f>
        <v>6.2250000000000005</v>
      </c>
      <c r="Q3" s="78">
        <v>5</v>
      </c>
      <c r="R3" s="81">
        <f>P3*P$18+Q3*Q$18</f>
        <v>5.735</v>
      </c>
    </row>
    <row r="4" spans="1:18" ht="12.75">
      <c r="A4" s="3" t="s">
        <v>23</v>
      </c>
      <c r="B4" s="4">
        <v>5</v>
      </c>
      <c r="C4" s="5">
        <v>10</v>
      </c>
      <c r="D4" s="5">
        <f t="shared" si="0"/>
        <v>7.5</v>
      </c>
      <c r="E4" s="6">
        <v>122</v>
      </c>
      <c r="F4" s="10">
        <f t="shared" si="1"/>
        <v>6</v>
      </c>
      <c r="G4" s="11">
        <f t="shared" si="2"/>
        <v>6.6</v>
      </c>
      <c r="I4" s="55">
        <f>60/8</f>
        <v>7.5</v>
      </c>
      <c r="J4" s="56">
        <v>6</v>
      </c>
      <c r="K4" s="55">
        <f>58/12</f>
        <v>4.833333333333333</v>
      </c>
      <c r="L4" s="56">
        <v>8</v>
      </c>
      <c r="M4" s="56">
        <v>5</v>
      </c>
      <c r="N4" s="56">
        <v>10</v>
      </c>
      <c r="O4" s="63">
        <f t="shared" si="3"/>
        <v>6.7666666666666675</v>
      </c>
      <c r="P4" s="63">
        <f t="shared" si="4"/>
        <v>6.73888888888889</v>
      </c>
      <c r="Q4" s="78">
        <v>7</v>
      </c>
      <c r="R4" s="81">
        <f>P4*P$18+Q4*Q$18</f>
        <v>6.843333333333334</v>
      </c>
    </row>
    <row r="5" spans="1:18" ht="12.75">
      <c r="A5" s="3" t="s">
        <v>24</v>
      </c>
      <c r="B5" s="4">
        <v>7</v>
      </c>
      <c r="C5" s="5">
        <v>9</v>
      </c>
      <c r="D5" s="5">
        <f t="shared" si="0"/>
        <v>8</v>
      </c>
      <c r="E5" s="6">
        <v>104</v>
      </c>
      <c r="F5" s="10">
        <f t="shared" si="1"/>
        <v>5</v>
      </c>
      <c r="G5" s="11">
        <f t="shared" si="2"/>
        <v>6.2</v>
      </c>
      <c r="I5" s="55">
        <f>67/8</f>
        <v>8.375</v>
      </c>
      <c r="J5" s="56">
        <v>6</v>
      </c>
      <c r="K5" s="55">
        <f>96/12</f>
        <v>8</v>
      </c>
      <c r="L5" s="56">
        <v>9</v>
      </c>
      <c r="M5" s="56">
        <v>9</v>
      </c>
      <c r="N5" s="56">
        <v>10</v>
      </c>
      <c r="O5" s="63">
        <f t="shared" si="3"/>
        <v>8.175</v>
      </c>
      <c r="P5" s="63">
        <f t="shared" si="4"/>
        <v>7.845833333333334</v>
      </c>
      <c r="Q5" s="78">
        <v>6</v>
      </c>
      <c r="R5" s="81">
        <f>P5*P$18+Q5*Q$18</f>
        <v>7.107500000000001</v>
      </c>
    </row>
    <row r="6" spans="1:18" ht="12.75">
      <c r="A6" s="3" t="s">
        <v>25</v>
      </c>
      <c r="B6" s="4">
        <v>4</v>
      </c>
      <c r="C6" s="5">
        <v>8</v>
      </c>
      <c r="D6" s="5">
        <f t="shared" si="0"/>
        <v>6</v>
      </c>
      <c r="E6" s="6">
        <v>91</v>
      </c>
      <c r="F6" s="10">
        <f t="shared" si="1"/>
        <v>5</v>
      </c>
      <c r="G6" s="11">
        <f t="shared" si="2"/>
        <v>5.4</v>
      </c>
      <c r="I6" s="55"/>
      <c r="J6" s="56"/>
      <c r="K6" s="55"/>
      <c r="L6" s="56"/>
      <c r="M6" s="56"/>
      <c r="N6" s="56"/>
      <c r="O6" s="63"/>
      <c r="P6" s="63"/>
      <c r="Q6" s="10"/>
      <c r="R6" s="81"/>
    </row>
    <row r="7" spans="1:18" ht="12.75">
      <c r="A7" s="3" t="s">
        <v>26</v>
      </c>
      <c r="B7" s="4">
        <v>5</v>
      </c>
      <c r="C7" s="5">
        <v>9</v>
      </c>
      <c r="D7" s="5">
        <f t="shared" si="0"/>
        <v>7</v>
      </c>
      <c r="E7" s="34">
        <f>зачет_пересд!E8</f>
        <v>85</v>
      </c>
      <c r="F7" s="35">
        <f t="shared" si="1"/>
        <v>4</v>
      </c>
      <c r="G7" s="36">
        <f t="shared" si="2"/>
        <v>5.199999999999999</v>
      </c>
      <c r="I7" s="55">
        <f>16/8</f>
        <v>2</v>
      </c>
      <c r="J7" s="56">
        <v>5</v>
      </c>
      <c r="K7" s="55">
        <f>90/12</f>
        <v>7.5</v>
      </c>
      <c r="L7" s="56">
        <v>8</v>
      </c>
      <c r="M7" s="56">
        <v>10</v>
      </c>
      <c r="N7" s="56">
        <v>10</v>
      </c>
      <c r="O7" s="63">
        <f t="shared" si="3"/>
        <v>6.5</v>
      </c>
      <c r="P7" s="63">
        <f t="shared" si="4"/>
        <v>6.283333333333333</v>
      </c>
      <c r="Q7" s="78">
        <v>4</v>
      </c>
      <c r="R7" s="81">
        <f>P7*P$18+Q7*Q$18</f>
        <v>5.369999999999999</v>
      </c>
    </row>
    <row r="8" spans="1:18" ht="12.75">
      <c r="A8" s="3" t="s">
        <v>27</v>
      </c>
      <c r="B8" s="4">
        <v>5</v>
      </c>
      <c r="C8" s="5">
        <v>9</v>
      </c>
      <c r="D8" s="5">
        <f t="shared" si="0"/>
        <v>7</v>
      </c>
      <c r="E8" s="6">
        <v>82</v>
      </c>
      <c r="F8" s="10">
        <f t="shared" si="1"/>
        <v>4</v>
      </c>
      <c r="G8" s="11">
        <f t="shared" si="2"/>
        <v>5.199999999999999</v>
      </c>
      <c r="I8" s="55">
        <f>37/8</f>
        <v>4.625</v>
      </c>
      <c r="J8" s="56">
        <v>5</v>
      </c>
      <c r="K8" s="55">
        <f>88/12</f>
        <v>7.333333333333333</v>
      </c>
      <c r="L8" s="56">
        <v>7</v>
      </c>
      <c r="M8" s="56">
        <v>5</v>
      </c>
      <c r="N8" s="56">
        <v>8</v>
      </c>
      <c r="O8" s="63">
        <f t="shared" si="3"/>
        <v>6.091666666666667</v>
      </c>
      <c r="P8" s="63">
        <f t="shared" si="4"/>
        <v>5.9430555555555555</v>
      </c>
      <c r="Q8" s="78">
        <v>5</v>
      </c>
      <c r="R8" s="81">
        <f>P8*P$18+Q8*Q$18</f>
        <v>5.565833333333334</v>
      </c>
    </row>
    <row r="9" spans="1:18" ht="12.75">
      <c r="A9" s="3" t="s">
        <v>28</v>
      </c>
      <c r="B9" s="4">
        <v>0</v>
      </c>
      <c r="C9" s="5">
        <v>7</v>
      </c>
      <c r="D9" s="5">
        <f t="shared" si="0"/>
        <v>3.5</v>
      </c>
      <c r="E9" s="12">
        <v>94</v>
      </c>
      <c r="F9" s="39">
        <f t="shared" si="1"/>
        <v>5</v>
      </c>
      <c r="G9" s="40">
        <f t="shared" si="2"/>
        <v>4.4</v>
      </c>
      <c r="I9" s="55">
        <v>0</v>
      </c>
      <c r="J9" s="56">
        <v>4</v>
      </c>
      <c r="K9" s="55">
        <f>31/12</f>
        <v>2.5833333333333335</v>
      </c>
      <c r="L9" s="56">
        <v>4</v>
      </c>
      <c r="M9" s="56">
        <v>0</v>
      </c>
      <c r="N9" s="56">
        <v>8</v>
      </c>
      <c r="O9" s="63">
        <f t="shared" si="3"/>
        <v>2.916666666666667</v>
      </c>
      <c r="P9" s="63">
        <f t="shared" si="4"/>
        <v>3.163888888888889</v>
      </c>
      <c r="Q9" s="88">
        <v>3</v>
      </c>
      <c r="R9" s="81"/>
    </row>
    <row r="10" spans="1:18" ht="12.75">
      <c r="A10" s="3" t="s">
        <v>29</v>
      </c>
      <c r="B10" s="4">
        <v>4</v>
      </c>
      <c r="C10" s="5">
        <v>8</v>
      </c>
      <c r="D10" s="38">
        <f t="shared" si="0"/>
        <v>6</v>
      </c>
      <c r="E10" s="46">
        <v>53</v>
      </c>
      <c r="F10" s="44">
        <v>4</v>
      </c>
      <c r="G10" s="45">
        <v>4</v>
      </c>
      <c r="I10" s="55">
        <f>40/8</f>
        <v>5</v>
      </c>
      <c r="J10" s="56"/>
      <c r="K10" s="55">
        <f>78/12</f>
        <v>6.5</v>
      </c>
      <c r="L10" s="56">
        <v>6</v>
      </c>
      <c r="M10" s="56">
        <v>2</v>
      </c>
      <c r="N10" s="56">
        <v>9</v>
      </c>
      <c r="O10" s="63">
        <f t="shared" si="3"/>
        <v>4.6000000000000005</v>
      </c>
      <c r="P10" s="63">
        <f t="shared" si="4"/>
        <v>4.500000000000001</v>
      </c>
      <c r="Q10" s="78">
        <v>4</v>
      </c>
      <c r="R10" s="81">
        <f>P10*P$18+Q10*Q$18</f>
        <v>4.300000000000001</v>
      </c>
    </row>
    <row r="11" spans="1:18" ht="12.75">
      <c r="A11" s="3" t="s">
        <v>30</v>
      </c>
      <c r="B11" s="4">
        <v>5</v>
      </c>
      <c r="C11" s="5">
        <v>9</v>
      </c>
      <c r="D11" s="38">
        <f t="shared" si="0"/>
        <v>7</v>
      </c>
      <c r="E11" s="46">
        <v>56</v>
      </c>
      <c r="F11" s="44">
        <v>4</v>
      </c>
      <c r="G11" s="45">
        <v>4</v>
      </c>
      <c r="I11" s="55">
        <f>34/8</f>
        <v>4.25</v>
      </c>
      <c r="J11" s="56">
        <v>5</v>
      </c>
      <c r="K11" s="55">
        <f>78/12</f>
        <v>6.5</v>
      </c>
      <c r="L11" s="56">
        <v>8</v>
      </c>
      <c r="M11" s="56">
        <v>5</v>
      </c>
      <c r="N11" s="56">
        <v>9</v>
      </c>
      <c r="O11" s="63">
        <f t="shared" si="3"/>
        <v>6.15</v>
      </c>
      <c r="P11" s="63">
        <f t="shared" si="4"/>
        <v>5.791666666666667</v>
      </c>
      <c r="Q11" s="78">
        <v>6</v>
      </c>
      <c r="R11" s="81">
        <f>P11*P$18+Q11*Q$18</f>
        <v>5.875</v>
      </c>
    </row>
    <row r="12" spans="1:18" ht="12.75">
      <c r="A12" s="3" t="s">
        <v>31</v>
      </c>
      <c r="B12" s="17">
        <v>10</v>
      </c>
      <c r="C12" s="18">
        <v>9</v>
      </c>
      <c r="D12" s="18">
        <f t="shared" si="0"/>
        <v>9.5</v>
      </c>
      <c r="E12" s="41">
        <v>167</v>
      </c>
      <c r="F12" s="42">
        <f>ROUND(E12/200*10,0)</f>
        <v>8</v>
      </c>
      <c r="G12" s="43">
        <f>B12*B$16+C12*C$16+F12*F$16</f>
        <v>8.6</v>
      </c>
      <c r="I12" s="55">
        <f>91/80*10</f>
        <v>11.375</v>
      </c>
      <c r="J12" s="56">
        <v>9</v>
      </c>
      <c r="K12" s="55">
        <f>110/12</f>
        <v>9.166666666666666</v>
      </c>
      <c r="L12" s="56">
        <v>10</v>
      </c>
      <c r="M12" s="56">
        <v>10</v>
      </c>
      <c r="N12" s="56">
        <v>10</v>
      </c>
      <c r="O12" s="63">
        <f t="shared" si="3"/>
        <v>9.908333333333333</v>
      </c>
      <c r="P12" s="63">
        <f t="shared" si="4"/>
        <v>9.690277777777778</v>
      </c>
      <c r="Q12" s="79">
        <f>155/16</f>
        <v>9.6875</v>
      </c>
      <c r="R12" s="81">
        <f>P12*P$18+Q12*Q$18</f>
        <v>9.689166666666667</v>
      </c>
    </row>
    <row r="13" spans="1:18" ht="12.75">
      <c r="A13" s="3" t="s">
        <v>32</v>
      </c>
      <c r="B13" s="17">
        <v>8</v>
      </c>
      <c r="C13" s="18">
        <v>10</v>
      </c>
      <c r="D13" s="18">
        <f t="shared" si="0"/>
        <v>9</v>
      </c>
      <c r="E13" s="12">
        <v>162</v>
      </c>
      <c r="F13" s="10">
        <f>ROUND(E13/200*10,0)</f>
        <v>8</v>
      </c>
      <c r="G13" s="11">
        <f>B13*B$16+C13*C$16+F13*F$16</f>
        <v>8.4</v>
      </c>
      <c r="I13" s="55">
        <f>74/8</f>
        <v>9.25</v>
      </c>
      <c r="J13" s="56">
        <v>8</v>
      </c>
      <c r="K13" s="55">
        <f>117/12</f>
        <v>9.75</v>
      </c>
      <c r="L13" s="56">
        <v>9</v>
      </c>
      <c r="M13" s="56">
        <v>9</v>
      </c>
      <c r="N13" s="56">
        <v>10</v>
      </c>
      <c r="O13" s="63">
        <f t="shared" si="3"/>
        <v>9.1</v>
      </c>
      <c r="P13" s="63">
        <f t="shared" si="4"/>
        <v>8.983333333333333</v>
      </c>
      <c r="Q13" s="80">
        <f>106/16</f>
        <v>6.625</v>
      </c>
      <c r="R13" s="81">
        <f>P13*P$18+Q13*Q$18</f>
        <v>8.04</v>
      </c>
    </row>
    <row r="14" spans="1:18" ht="12.75">
      <c r="A14" s="3" t="s">
        <v>33</v>
      </c>
      <c r="B14" s="17">
        <v>4</v>
      </c>
      <c r="C14" s="18">
        <v>8</v>
      </c>
      <c r="D14" s="18">
        <f t="shared" si="0"/>
        <v>6</v>
      </c>
      <c r="E14" s="12">
        <v>115</v>
      </c>
      <c r="F14" s="10">
        <f>ROUND(E14/200*10,0)</f>
        <v>6</v>
      </c>
      <c r="G14" s="11">
        <f>B14*B$16+C14*C$16+F14*F$16</f>
        <v>6</v>
      </c>
      <c r="I14" s="55">
        <f>19/8</f>
        <v>2.375</v>
      </c>
      <c r="J14" s="56">
        <v>6</v>
      </c>
      <c r="K14" s="55">
        <f>85/12</f>
        <v>7.083333333333333</v>
      </c>
      <c r="L14" s="56">
        <v>5</v>
      </c>
      <c r="M14" s="56">
        <v>3</v>
      </c>
      <c r="N14" s="56">
        <v>9</v>
      </c>
      <c r="O14" s="63">
        <f t="shared" si="3"/>
        <v>5.291666666666667</v>
      </c>
      <c r="P14" s="63">
        <f t="shared" si="4"/>
        <v>5.409722222222223</v>
      </c>
      <c r="Q14" s="78">
        <v>4</v>
      </c>
      <c r="R14" s="81">
        <f>P14*P$18+Q14*Q$18</f>
        <v>4.845833333333334</v>
      </c>
    </row>
    <row r="15" spans="1:18" ht="13.5" thickBot="1">
      <c r="A15" s="3" t="s">
        <v>34</v>
      </c>
      <c r="B15" s="27">
        <v>7</v>
      </c>
      <c r="C15" s="23">
        <v>9</v>
      </c>
      <c r="D15" s="23">
        <f t="shared" si="0"/>
        <v>8</v>
      </c>
      <c r="E15" s="37">
        <f>зачет_пересд!E16</f>
        <v>105</v>
      </c>
      <c r="F15" s="35">
        <f>ROUND(E15/200*10,0)</f>
        <v>5</v>
      </c>
      <c r="G15" s="36">
        <f>B15*B$16+C15*C$16+F15*F$16</f>
        <v>6.2</v>
      </c>
      <c r="I15" s="57">
        <f>29/8</f>
        <v>3.625</v>
      </c>
      <c r="J15" s="58">
        <v>5</v>
      </c>
      <c r="K15" s="57">
        <f>66/12</f>
        <v>5.5</v>
      </c>
      <c r="L15" s="58">
        <v>7</v>
      </c>
      <c r="M15" s="58">
        <v>5</v>
      </c>
      <c r="N15" s="58">
        <v>8</v>
      </c>
      <c r="O15" s="64">
        <f t="shared" si="3"/>
        <v>5.525</v>
      </c>
      <c r="P15" s="64">
        <f t="shared" si="4"/>
        <v>5.637500000000001</v>
      </c>
      <c r="Q15" s="78">
        <v>4</v>
      </c>
      <c r="R15" s="82">
        <f>P15*P$18+Q15*Q$18</f>
        <v>4.982500000000001</v>
      </c>
    </row>
    <row r="16" spans="1:18" ht="13.5" thickBot="1">
      <c r="A16" s="15" t="s">
        <v>1</v>
      </c>
      <c r="B16" s="19">
        <v>0.2</v>
      </c>
      <c r="C16" s="20">
        <v>0.2</v>
      </c>
      <c r="D16" s="20"/>
      <c r="E16" s="21"/>
      <c r="F16" s="13">
        <v>0.6</v>
      </c>
      <c r="G16" s="14"/>
      <c r="I16" s="71">
        <v>0.1</v>
      </c>
      <c r="J16" s="72">
        <v>0.1</v>
      </c>
      <c r="K16" s="72">
        <v>0.1</v>
      </c>
      <c r="L16" s="72">
        <v>0.1</v>
      </c>
      <c r="M16" s="72">
        <v>0.05</v>
      </c>
      <c r="N16" s="72">
        <v>0.05</v>
      </c>
      <c r="O16" s="73"/>
      <c r="P16" s="54"/>
      <c r="Q16" s="54"/>
      <c r="R16" s="75"/>
    </row>
    <row r="17" spans="1:18" ht="13.5" thickBot="1">
      <c r="A17" s="15" t="s">
        <v>40</v>
      </c>
      <c r="B17" s="19"/>
      <c r="C17" s="20"/>
      <c r="D17" s="20"/>
      <c r="E17" s="21"/>
      <c r="F17" s="13"/>
      <c r="G17" s="65">
        <v>0.1</v>
      </c>
      <c r="I17" s="70"/>
      <c r="J17" s="53"/>
      <c r="K17" s="70"/>
      <c r="L17" s="53"/>
      <c r="M17" s="53"/>
      <c r="N17" s="53"/>
      <c r="O17" s="74">
        <f>SUM(I16:N16)</f>
        <v>0.5</v>
      </c>
      <c r="P17" s="53"/>
      <c r="Q17" s="53"/>
      <c r="R17" s="76"/>
    </row>
    <row r="18" spans="16:18" ht="13.5" thickBot="1">
      <c r="P18" s="65">
        <f>G17+O17</f>
        <v>0.6</v>
      </c>
      <c r="Q18" s="65">
        <v>0.4</v>
      </c>
      <c r="R18" s="77"/>
    </row>
    <row r="19" ht="13.5" thickBot="1">
      <c r="R19" s="65">
        <f>P18+Q18</f>
        <v>1</v>
      </c>
    </row>
    <row r="39" ht="12.75">
      <c r="A39" s="49"/>
    </row>
    <row r="40" ht="12.75">
      <c r="A40" s="49"/>
    </row>
    <row r="41" ht="12.75">
      <c r="A41" s="49"/>
    </row>
    <row r="42" ht="12.75">
      <c r="A42" s="49"/>
    </row>
    <row r="43" ht="12.75">
      <c r="A43" s="49"/>
    </row>
    <row r="44" ht="12.75">
      <c r="A44" s="49"/>
    </row>
    <row r="45" ht="12.75">
      <c r="A45" s="49"/>
    </row>
    <row r="46" ht="12.75">
      <c r="A46" s="49"/>
    </row>
    <row r="47" ht="12.75">
      <c r="A47" s="49"/>
    </row>
    <row r="48" ht="12.75">
      <c r="A48" s="49"/>
    </row>
    <row r="49" ht="12.75">
      <c r="A49" s="49"/>
    </row>
    <row r="50" ht="12.75">
      <c r="A50" s="49"/>
    </row>
    <row r="51" ht="12.75">
      <c r="A51" s="49"/>
    </row>
    <row r="52" ht="12.75">
      <c r="A52" s="49"/>
    </row>
  </sheetData>
  <sheetProtection/>
  <conditionalFormatting sqref="E2:E15 G2:G15">
    <cfRule type="cellIs" priority="1" dxfId="0" operator="lessThanOrEqual" stopIfTrue="1">
      <formula>3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zoomScale="80" zoomScaleNormal="80" zoomScalePageLayoutView="0" workbookViewId="0" topLeftCell="A1">
      <pane xSplit="1" ySplit="1" topLeftCell="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24" sqref="Q24"/>
    </sheetView>
  </sheetViews>
  <sheetFormatPr defaultColWidth="9.140625" defaultRowHeight="12.75"/>
  <cols>
    <col min="1" max="1" width="22.140625" style="0" bestFit="1" customWidth="1"/>
    <col min="2" max="3" width="11.28125" style="0" customWidth="1"/>
    <col min="4" max="4" width="14.7109375" style="0" customWidth="1"/>
    <col min="5" max="5" width="11.28125" style="0" customWidth="1"/>
    <col min="6" max="6" width="15.00390625" style="0" customWidth="1"/>
    <col min="7" max="7" width="17.140625" style="0" customWidth="1"/>
    <col min="11" max="11" width="12.57421875" style="0" customWidth="1"/>
    <col min="12" max="12" width="12.28125" style="0" customWidth="1"/>
    <col min="15" max="15" width="14.7109375" style="0" customWidth="1"/>
    <col min="16" max="16" width="14.8515625" style="0" customWidth="1"/>
    <col min="17" max="18" width="13.421875" style="0" customWidth="1"/>
  </cols>
  <sheetData>
    <row r="1" spans="1:18" ht="104.25" customHeight="1" thickBot="1">
      <c r="A1" s="1" t="s">
        <v>0</v>
      </c>
      <c r="B1" s="25" t="s">
        <v>15</v>
      </c>
      <c r="C1" s="26" t="s">
        <v>16</v>
      </c>
      <c r="D1" s="62" t="s">
        <v>41</v>
      </c>
      <c r="E1" s="7" t="s">
        <v>18</v>
      </c>
      <c r="F1" s="8" t="s">
        <v>2</v>
      </c>
      <c r="G1" s="9" t="s">
        <v>20</v>
      </c>
      <c r="H1" s="51"/>
      <c r="I1" s="52" t="s">
        <v>36</v>
      </c>
      <c r="J1" s="52" t="s">
        <v>39</v>
      </c>
      <c r="K1" s="52" t="s">
        <v>37</v>
      </c>
      <c r="L1" s="52" t="s">
        <v>38</v>
      </c>
      <c r="M1" s="52" t="s">
        <v>15</v>
      </c>
      <c r="N1" s="52" t="s">
        <v>16</v>
      </c>
      <c r="O1" s="69" t="s">
        <v>42</v>
      </c>
      <c r="P1" s="69" t="s">
        <v>43</v>
      </c>
      <c r="Q1" s="8" t="s">
        <v>44</v>
      </c>
      <c r="R1" s="85" t="s">
        <v>45</v>
      </c>
    </row>
    <row r="2" spans="1:18" ht="12.75">
      <c r="A2" s="2" t="s">
        <v>4</v>
      </c>
      <c r="B2" s="4">
        <v>7</v>
      </c>
      <c r="C2" s="5">
        <v>9</v>
      </c>
      <c r="D2" s="59">
        <f aca="true" t="shared" si="0" ref="D2:D13">AVERAGE(B2:C2)</f>
        <v>8</v>
      </c>
      <c r="E2" s="6">
        <v>71</v>
      </c>
      <c r="F2" s="10">
        <f aca="true" t="shared" si="1" ref="F2:F13">ROUND(E2/200*10,0)</f>
        <v>4</v>
      </c>
      <c r="G2" s="11">
        <f aca="true" t="shared" si="2" ref="G2:G13">B2*B$14+C2*C$14+F2*F$14</f>
        <v>5.6</v>
      </c>
      <c r="I2" s="66">
        <f>57/8</f>
        <v>7.125</v>
      </c>
      <c r="J2" s="67">
        <v>5</v>
      </c>
      <c r="K2" s="66">
        <f>68/12</f>
        <v>5.666666666666667</v>
      </c>
      <c r="L2" s="67">
        <v>7</v>
      </c>
      <c r="M2" s="67">
        <v>7</v>
      </c>
      <c r="N2" s="67">
        <v>9</v>
      </c>
      <c r="O2" s="68">
        <f>SUMPRODUCT(I2:N2,I$14:N$14)/0.5</f>
        <v>6.5583333333333345</v>
      </c>
      <c r="P2" s="68">
        <f>(G2*G$15+O2*O$15)/0.6</f>
        <v>6.398611111111112</v>
      </c>
      <c r="Q2" s="83">
        <v>4</v>
      </c>
      <c r="R2" s="86">
        <f>P2*P$16+Q2*Q$16</f>
        <v>5.439166666666667</v>
      </c>
    </row>
    <row r="3" spans="1:18" ht="12.75">
      <c r="A3" s="3" t="s">
        <v>5</v>
      </c>
      <c r="B3" s="4">
        <v>5</v>
      </c>
      <c r="C3" s="5">
        <v>6</v>
      </c>
      <c r="D3" s="59">
        <f t="shared" si="0"/>
        <v>5.5</v>
      </c>
      <c r="E3" s="6">
        <v>92</v>
      </c>
      <c r="F3" s="10">
        <f t="shared" si="1"/>
        <v>5</v>
      </c>
      <c r="G3" s="11">
        <f t="shared" si="2"/>
        <v>5.2</v>
      </c>
      <c r="I3" s="55">
        <f>62/8</f>
        <v>7.75</v>
      </c>
      <c r="J3" s="56">
        <v>7</v>
      </c>
      <c r="K3" s="55">
        <f>64/12</f>
        <v>5.333333333333333</v>
      </c>
      <c r="L3" s="56">
        <v>8</v>
      </c>
      <c r="M3" s="56">
        <v>8</v>
      </c>
      <c r="N3" s="56">
        <v>10</v>
      </c>
      <c r="O3" s="63">
        <f aca="true" t="shared" si="3" ref="O3:O13">SUMPRODUCT(I3:N3,I$14:N$14)/0.5</f>
        <v>7.416666666666667</v>
      </c>
      <c r="P3" s="63">
        <f aca="true" t="shared" si="4" ref="P3:P13">(G3*G$15+O3*O$15)/0.6</f>
        <v>7.0472222222222225</v>
      </c>
      <c r="Q3" s="84">
        <v>4</v>
      </c>
      <c r="R3" s="81">
        <f>P3*P$16+Q3*Q$16</f>
        <v>5.828333333333333</v>
      </c>
    </row>
    <row r="4" spans="1:18" ht="12.75">
      <c r="A4" s="3" t="s">
        <v>6</v>
      </c>
      <c r="B4" s="4">
        <v>6</v>
      </c>
      <c r="C4" s="5">
        <v>8</v>
      </c>
      <c r="D4" s="59">
        <f t="shared" si="0"/>
        <v>7</v>
      </c>
      <c r="E4" s="6">
        <v>84</v>
      </c>
      <c r="F4" s="10">
        <f t="shared" si="1"/>
        <v>4</v>
      </c>
      <c r="G4" s="11">
        <f t="shared" si="2"/>
        <v>5.2</v>
      </c>
      <c r="I4" s="55">
        <f>42/8</f>
        <v>5.25</v>
      </c>
      <c r="J4" s="56">
        <v>6</v>
      </c>
      <c r="K4" s="55">
        <f>72/12</f>
        <v>6</v>
      </c>
      <c r="L4" s="56">
        <v>9</v>
      </c>
      <c r="M4" s="56">
        <v>6</v>
      </c>
      <c r="N4" s="56">
        <v>10</v>
      </c>
      <c r="O4" s="63">
        <f t="shared" si="3"/>
        <v>6.85</v>
      </c>
      <c r="P4" s="63">
        <f t="shared" si="4"/>
        <v>6.575</v>
      </c>
      <c r="Q4" s="84">
        <v>4</v>
      </c>
      <c r="R4" s="81">
        <f>P4*P$16+Q4*Q$16</f>
        <v>5.545</v>
      </c>
    </row>
    <row r="5" spans="1:18" ht="12.75">
      <c r="A5" s="3" t="s">
        <v>7</v>
      </c>
      <c r="B5" s="4">
        <v>2</v>
      </c>
      <c r="C5" s="5">
        <v>6</v>
      </c>
      <c r="D5" s="59">
        <f t="shared" si="0"/>
        <v>4</v>
      </c>
      <c r="E5" s="34">
        <f>зачет_пересд!E24</f>
        <v>80</v>
      </c>
      <c r="F5" s="35">
        <f t="shared" si="1"/>
        <v>4</v>
      </c>
      <c r="G5" s="36">
        <f t="shared" si="2"/>
        <v>4</v>
      </c>
      <c r="I5" s="55">
        <f>40/8</f>
        <v>5</v>
      </c>
      <c r="J5" s="56">
        <v>4</v>
      </c>
      <c r="K5" s="55">
        <f>80/12</f>
        <v>6.666666666666667</v>
      </c>
      <c r="L5" s="56">
        <v>7</v>
      </c>
      <c r="M5" s="56">
        <v>5</v>
      </c>
      <c r="N5" s="56">
        <v>8</v>
      </c>
      <c r="O5" s="63">
        <f t="shared" si="3"/>
        <v>5.833333333333334</v>
      </c>
      <c r="P5" s="63">
        <f t="shared" si="4"/>
        <v>5.527777777777779</v>
      </c>
      <c r="Q5" s="87">
        <v>3</v>
      </c>
      <c r="R5" s="81">
        <f aca="true" t="shared" si="5" ref="R5:R13">P5*P$16+Q5*Q$16</f>
        <v>4.5166666666666675</v>
      </c>
    </row>
    <row r="6" spans="1:18" ht="12.75">
      <c r="A6" s="3" t="s">
        <v>3</v>
      </c>
      <c r="B6" s="4">
        <v>5</v>
      </c>
      <c r="C6" s="5">
        <v>8</v>
      </c>
      <c r="D6" s="59">
        <f t="shared" si="0"/>
        <v>6.5</v>
      </c>
      <c r="E6" s="6">
        <v>85</v>
      </c>
      <c r="F6" s="10">
        <f t="shared" si="1"/>
        <v>4</v>
      </c>
      <c r="G6" s="11">
        <f t="shared" si="2"/>
        <v>5</v>
      </c>
      <c r="I6" s="55">
        <f>32/8</f>
        <v>4</v>
      </c>
      <c r="J6" s="56">
        <v>4</v>
      </c>
      <c r="K6" s="55">
        <f>74/12</f>
        <v>6.166666666666667</v>
      </c>
      <c r="L6" s="56">
        <v>8</v>
      </c>
      <c r="M6" s="56">
        <v>6</v>
      </c>
      <c r="N6" s="56">
        <v>8</v>
      </c>
      <c r="O6" s="63">
        <f t="shared" si="3"/>
        <v>5.833333333333333</v>
      </c>
      <c r="P6" s="63">
        <f t="shared" si="4"/>
        <v>5.694444444444445</v>
      </c>
      <c r="Q6" s="84">
        <v>4</v>
      </c>
      <c r="R6" s="81">
        <f t="shared" si="5"/>
        <v>5.016666666666667</v>
      </c>
    </row>
    <row r="7" spans="1:18" ht="12.75">
      <c r="A7" s="3" t="s">
        <v>8</v>
      </c>
      <c r="B7" s="4">
        <v>3</v>
      </c>
      <c r="C7" s="5">
        <v>7</v>
      </c>
      <c r="D7" s="59">
        <f t="shared" si="0"/>
        <v>5</v>
      </c>
      <c r="E7" s="47">
        <v>51</v>
      </c>
      <c r="F7" s="48">
        <v>4</v>
      </c>
      <c r="G7" s="50">
        <f t="shared" si="2"/>
        <v>4.4</v>
      </c>
      <c r="I7" s="55">
        <f>50/8</f>
        <v>6.25</v>
      </c>
      <c r="J7" s="56">
        <v>5</v>
      </c>
      <c r="K7" s="55">
        <f>12/6</f>
        <v>2</v>
      </c>
      <c r="L7" s="56">
        <v>7</v>
      </c>
      <c r="M7" s="56">
        <v>4</v>
      </c>
      <c r="N7" s="56">
        <v>7</v>
      </c>
      <c r="O7" s="63">
        <f t="shared" si="3"/>
        <v>5.15</v>
      </c>
      <c r="P7" s="63">
        <f t="shared" si="4"/>
        <v>5.025</v>
      </c>
      <c r="Q7" s="84">
        <v>4</v>
      </c>
      <c r="R7" s="81">
        <f t="shared" si="5"/>
        <v>4.615</v>
      </c>
    </row>
    <row r="8" spans="1:18" ht="12.75">
      <c r="A8" s="3" t="s">
        <v>9</v>
      </c>
      <c r="B8" s="4">
        <v>2</v>
      </c>
      <c r="C8" s="5">
        <v>8</v>
      </c>
      <c r="D8" s="59">
        <f t="shared" si="0"/>
        <v>5</v>
      </c>
      <c r="E8" s="47">
        <v>48</v>
      </c>
      <c r="F8" s="48">
        <v>4</v>
      </c>
      <c r="G8" s="50">
        <f t="shared" si="2"/>
        <v>4.4</v>
      </c>
      <c r="I8" s="55">
        <f>37/8</f>
        <v>4.625</v>
      </c>
      <c r="J8" s="56">
        <v>4</v>
      </c>
      <c r="K8" s="55">
        <f>95/12</f>
        <v>7.916666666666667</v>
      </c>
      <c r="L8" s="56">
        <v>7</v>
      </c>
      <c r="M8" s="56">
        <v>6</v>
      </c>
      <c r="N8" s="56">
        <v>9</v>
      </c>
      <c r="O8" s="63">
        <f t="shared" si="3"/>
        <v>6.208333333333334</v>
      </c>
      <c r="P8" s="63">
        <f t="shared" si="4"/>
        <v>5.906944444444445</v>
      </c>
      <c r="Q8" s="84">
        <v>4</v>
      </c>
      <c r="R8" s="81">
        <f t="shared" si="5"/>
        <v>5.144166666666667</v>
      </c>
    </row>
    <row r="9" spans="1:18" ht="12.75">
      <c r="A9" s="3" t="s">
        <v>10</v>
      </c>
      <c r="B9" s="4">
        <v>7</v>
      </c>
      <c r="C9" s="5">
        <v>8</v>
      </c>
      <c r="D9" s="59">
        <f t="shared" si="0"/>
        <v>7.5</v>
      </c>
      <c r="E9" s="6">
        <v>96</v>
      </c>
      <c r="F9" s="10">
        <f t="shared" si="1"/>
        <v>5</v>
      </c>
      <c r="G9" s="11">
        <f t="shared" si="2"/>
        <v>6</v>
      </c>
      <c r="I9" s="55">
        <f>43/8</f>
        <v>5.375</v>
      </c>
      <c r="J9" s="56">
        <v>5</v>
      </c>
      <c r="K9" s="55">
        <f>107/12</f>
        <v>8.916666666666666</v>
      </c>
      <c r="L9" s="56">
        <v>8</v>
      </c>
      <c r="M9" s="56">
        <v>7</v>
      </c>
      <c r="N9" s="56">
        <v>8</v>
      </c>
      <c r="O9" s="63">
        <f t="shared" si="3"/>
        <v>6.958333333333334</v>
      </c>
      <c r="P9" s="63">
        <f t="shared" si="4"/>
        <v>6.7986111111111125</v>
      </c>
      <c r="Q9" s="84">
        <v>5</v>
      </c>
      <c r="R9" s="81">
        <f t="shared" si="5"/>
        <v>6.0791666666666675</v>
      </c>
    </row>
    <row r="10" spans="1:18" ht="12.75">
      <c r="A10" s="3" t="s">
        <v>11</v>
      </c>
      <c r="B10" s="4">
        <v>7</v>
      </c>
      <c r="C10" s="5">
        <v>6</v>
      </c>
      <c r="D10" s="59">
        <f t="shared" si="0"/>
        <v>6.5</v>
      </c>
      <c r="E10" s="34">
        <f>зачет_пересд!E29</f>
        <v>93</v>
      </c>
      <c r="F10" s="35">
        <f t="shared" si="1"/>
        <v>5</v>
      </c>
      <c r="G10" s="36">
        <f t="shared" si="2"/>
        <v>5.6000000000000005</v>
      </c>
      <c r="I10" s="55">
        <f>45/8</f>
        <v>5.625</v>
      </c>
      <c r="J10" s="56">
        <v>1</v>
      </c>
      <c r="K10" s="55">
        <f>94/12</f>
        <v>7.833333333333333</v>
      </c>
      <c r="L10" s="56">
        <v>7</v>
      </c>
      <c r="M10" s="56">
        <v>8</v>
      </c>
      <c r="N10" s="56">
        <v>6</v>
      </c>
      <c r="O10" s="63">
        <f t="shared" si="3"/>
        <v>5.691666666666666</v>
      </c>
      <c r="P10" s="63">
        <f t="shared" si="4"/>
        <v>5.676388888888889</v>
      </c>
      <c r="Q10" s="84">
        <v>4</v>
      </c>
      <c r="R10" s="81">
        <f t="shared" si="5"/>
        <v>5.005833333333333</v>
      </c>
    </row>
    <row r="11" spans="1:18" ht="12.75">
      <c r="A11" s="3" t="s">
        <v>12</v>
      </c>
      <c r="B11" s="4">
        <v>5</v>
      </c>
      <c r="C11" s="5">
        <v>8</v>
      </c>
      <c r="D11" s="59">
        <f t="shared" si="0"/>
        <v>6.5</v>
      </c>
      <c r="E11" s="34">
        <f>зачет_пересд!E30</f>
        <v>76</v>
      </c>
      <c r="F11" s="35">
        <f t="shared" si="1"/>
        <v>4</v>
      </c>
      <c r="G11" s="36">
        <f t="shared" si="2"/>
        <v>5</v>
      </c>
      <c r="I11" s="55">
        <f>27/8</f>
        <v>3.375</v>
      </c>
      <c r="J11" s="56">
        <v>5</v>
      </c>
      <c r="K11" s="55">
        <f>47/12</f>
        <v>3.9166666666666665</v>
      </c>
      <c r="L11" s="56">
        <v>7</v>
      </c>
      <c r="M11" s="56">
        <v>4</v>
      </c>
      <c r="N11" s="56">
        <v>9</v>
      </c>
      <c r="O11" s="63">
        <f t="shared" si="3"/>
        <v>5.158333333333334</v>
      </c>
      <c r="P11" s="63">
        <f t="shared" si="4"/>
        <v>5.1319444444444455</v>
      </c>
      <c r="Q11" s="84">
        <v>4</v>
      </c>
      <c r="R11" s="81">
        <f t="shared" si="5"/>
        <v>4.679166666666667</v>
      </c>
    </row>
    <row r="12" spans="1:18" ht="12.75">
      <c r="A12" s="3" t="s">
        <v>13</v>
      </c>
      <c r="B12" s="17">
        <v>6</v>
      </c>
      <c r="C12" s="18">
        <v>8</v>
      </c>
      <c r="D12" s="60">
        <f t="shared" si="0"/>
        <v>7</v>
      </c>
      <c r="E12" s="12">
        <v>113</v>
      </c>
      <c r="F12" s="10">
        <f t="shared" si="1"/>
        <v>6</v>
      </c>
      <c r="G12" s="11">
        <f t="shared" si="2"/>
        <v>6.4</v>
      </c>
      <c r="I12" s="55">
        <f>52/8</f>
        <v>6.5</v>
      </c>
      <c r="J12" s="56">
        <v>7</v>
      </c>
      <c r="K12" s="55">
        <f>65/12</f>
        <v>5.416666666666667</v>
      </c>
      <c r="L12" s="56">
        <v>7</v>
      </c>
      <c r="M12" s="56">
        <v>8</v>
      </c>
      <c r="N12" s="56">
        <v>10</v>
      </c>
      <c r="O12" s="63">
        <f t="shared" si="3"/>
        <v>6.983333333333333</v>
      </c>
      <c r="P12" s="63">
        <f t="shared" si="4"/>
        <v>6.886111111111112</v>
      </c>
      <c r="Q12" s="84">
        <v>4</v>
      </c>
      <c r="R12" s="81">
        <f t="shared" si="5"/>
        <v>5.731666666666667</v>
      </c>
    </row>
    <row r="13" spans="1:18" ht="13.5" thickBot="1">
      <c r="A13" s="16" t="s">
        <v>14</v>
      </c>
      <c r="B13" s="22">
        <v>5</v>
      </c>
      <c r="C13" s="23">
        <v>6</v>
      </c>
      <c r="D13" s="61">
        <f t="shared" si="0"/>
        <v>5.5</v>
      </c>
      <c r="E13" s="24">
        <v>89</v>
      </c>
      <c r="F13" s="10">
        <f t="shared" si="1"/>
        <v>4</v>
      </c>
      <c r="G13" s="11">
        <f t="shared" si="2"/>
        <v>4.6</v>
      </c>
      <c r="I13" s="57">
        <f>50/8</f>
        <v>6.25</v>
      </c>
      <c r="J13" s="58">
        <v>3</v>
      </c>
      <c r="K13" s="57">
        <f>64/12</f>
        <v>5.333333333333333</v>
      </c>
      <c r="L13" s="58">
        <v>6</v>
      </c>
      <c r="M13" s="58">
        <v>5</v>
      </c>
      <c r="N13" s="58">
        <v>8</v>
      </c>
      <c r="O13" s="64">
        <f t="shared" si="3"/>
        <v>5.416666666666667</v>
      </c>
      <c r="P13" s="64">
        <f t="shared" si="4"/>
        <v>5.280555555555556</v>
      </c>
      <c r="Q13" s="96">
        <v>5</v>
      </c>
      <c r="R13" s="82">
        <f t="shared" si="5"/>
        <v>5.168333333333333</v>
      </c>
    </row>
    <row r="14" spans="1:18" ht="13.5" thickBot="1">
      <c r="A14" s="15" t="s">
        <v>1</v>
      </c>
      <c r="B14" s="19">
        <v>0.2</v>
      </c>
      <c r="C14" s="20">
        <v>0.2</v>
      </c>
      <c r="D14" s="20"/>
      <c r="E14" s="21"/>
      <c r="F14" s="13">
        <v>0.6</v>
      </c>
      <c r="G14" s="14"/>
      <c r="I14" s="71">
        <v>0.1</v>
      </c>
      <c r="J14" s="72">
        <v>0.1</v>
      </c>
      <c r="K14" s="72">
        <v>0.1</v>
      </c>
      <c r="L14" s="72">
        <v>0.1</v>
      </c>
      <c r="M14" s="72">
        <v>0.05</v>
      </c>
      <c r="N14" s="72">
        <v>0.05</v>
      </c>
      <c r="O14" s="73"/>
      <c r="P14" s="54"/>
      <c r="Q14" s="95"/>
      <c r="R14" s="75"/>
    </row>
    <row r="15" spans="1:18" ht="13.5" thickBot="1">
      <c r="A15" s="15" t="s">
        <v>40</v>
      </c>
      <c r="B15" s="19"/>
      <c r="C15" s="20"/>
      <c r="D15" s="20"/>
      <c r="E15" s="21"/>
      <c r="F15" s="13"/>
      <c r="G15" s="65">
        <v>0.1</v>
      </c>
      <c r="I15" s="70"/>
      <c r="J15" s="53"/>
      <c r="K15" s="70"/>
      <c r="L15" s="53"/>
      <c r="M15" s="53"/>
      <c r="N15" s="53"/>
      <c r="O15" s="74">
        <f>SUM(I14:N14)</f>
        <v>0.5</v>
      </c>
      <c r="P15" s="53"/>
      <c r="Q15" s="53"/>
      <c r="R15" s="76"/>
    </row>
    <row r="16" spans="16:18" ht="13.5" thickBot="1">
      <c r="P16" s="65">
        <f>G15+O15</f>
        <v>0.6</v>
      </c>
      <c r="Q16" s="65">
        <v>0.4</v>
      </c>
      <c r="R16" s="77"/>
    </row>
    <row r="17" ht="13.5" thickBot="1">
      <c r="R17" s="65">
        <f>P16+Q16</f>
        <v>1</v>
      </c>
    </row>
  </sheetData>
  <sheetProtection/>
  <conditionalFormatting sqref="E2:E13 G2:G13">
    <cfRule type="cellIs" priority="1" dxfId="0" operator="lessThanOrEqual" stopIfTrue="1">
      <formula>3</formula>
    </cfRule>
  </conditionalFormatting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E11" sqref="E11"/>
    </sheetView>
  </sheetViews>
  <sheetFormatPr defaultColWidth="9.140625" defaultRowHeight="12.75"/>
  <sheetData>
    <row r="1" ht="12.75">
      <c r="A1">
        <v>133</v>
      </c>
    </row>
    <row r="2" spans="1:7" ht="12.75">
      <c r="A2" t="s">
        <v>0</v>
      </c>
      <c r="B2" t="s">
        <v>15</v>
      </c>
      <c r="C2" t="s">
        <v>16</v>
      </c>
      <c r="D2" t="s">
        <v>17</v>
      </c>
      <c r="E2" t="s">
        <v>18</v>
      </c>
      <c r="F2" t="s">
        <v>2</v>
      </c>
      <c r="G2" t="s">
        <v>20</v>
      </c>
    </row>
    <row r="3" spans="1:7" ht="12.75">
      <c r="A3" t="s">
        <v>21</v>
      </c>
      <c r="B3">
        <v>5</v>
      </c>
      <c r="C3">
        <v>8</v>
      </c>
      <c r="D3">
        <v>6.5</v>
      </c>
      <c r="E3" s="32">
        <v>90</v>
      </c>
      <c r="F3" s="29">
        <f aca="true" t="shared" si="0" ref="F3:F16">ROUND(E3/200*10,0)</f>
        <v>5</v>
      </c>
      <c r="G3" s="33" t="s">
        <v>35</v>
      </c>
    </row>
    <row r="4" spans="1:7" ht="12.75">
      <c r="A4" t="s">
        <v>22</v>
      </c>
      <c r="B4">
        <v>4</v>
      </c>
      <c r="C4">
        <v>9</v>
      </c>
      <c r="D4">
        <v>6.5</v>
      </c>
      <c r="E4" s="32">
        <v>95</v>
      </c>
      <c r="F4" s="29">
        <f t="shared" si="0"/>
        <v>5</v>
      </c>
      <c r="G4" s="33" t="s">
        <v>35</v>
      </c>
    </row>
    <row r="5" spans="1:7" ht="12.75">
      <c r="A5" t="s">
        <v>23</v>
      </c>
      <c r="B5">
        <v>5</v>
      </c>
      <c r="C5">
        <v>10</v>
      </c>
      <c r="D5">
        <v>7.5</v>
      </c>
      <c r="E5">
        <v>122</v>
      </c>
      <c r="F5" s="28">
        <f t="shared" si="0"/>
        <v>6</v>
      </c>
      <c r="G5">
        <v>6.6</v>
      </c>
    </row>
    <row r="6" spans="1:7" ht="12.75">
      <c r="A6" t="s">
        <v>24</v>
      </c>
      <c r="B6">
        <v>7</v>
      </c>
      <c r="C6">
        <v>9</v>
      </c>
      <c r="D6">
        <v>8</v>
      </c>
      <c r="E6">
        <v>104</v>
      </c>
      <c r="F6" s="28">
        <f t="shared" si="0"/>
        <v>5</v>
      </c>
      <c r="G6">
        <v>6.2</v>
      </c>
    </row>
    <row r="7" spans="1:7" ht="12.75">
      <c r="A7" t="s">
        <v>25</v>
      </c>
      <c r="B7">
        <v>4</v>
      </c>
      <c r="C7">
        <v>8</v>
      </c>
      <c r="D7">
        <v>6</v>
      </c>
      <c r="E7">
        <v>91</v>
      </c>
      <c r="F7" s="28">
        <f t="shared" si="0"/>
        <v>5</v>
      </c>
      <c r="G7">
        <v>5.4</v>
      </c>
    </row>
    <row r="8" spans="1:7" ht="12.75">
      <c r="A8" t="s">
        <v>26</v>
      </c>
      <c r="B8">
        <v>5</v>
      </c>
      <c r="C8">
        <v>9</v>
      </c>
      <c r="D8">
        <v>7</v>
      </c>
      <c r="E8" s="32">
        <v>85</v>
      </c>
      <c r="F8" s="29">
        <f t="shared" si="0"/>
        <v>4</v>
      </c>
      <c r="G8" s="33" t="s">
        <v>35</v>
      </c>
    </row>
    <row r="9" spans="1:7" ht="12.75">
      <c r="A9" t="s">
        <v>27</v>
      </c>
      <c r="B9">
        <v>5</v>
      </c>
      <c r="C9">
        <v>9</v>
      </c>
      <c r="D9">
        <v>7</v>
      </c>
      <c r="E9">
        <v>82</v>
      </c>
      <c r="F9" s="28">
        <f t="shared" si="0"/>
        <v>4</v>
      </c>
      <c r="G9">
        <v>5.199999999999999</v>
      </c>
    </row>
    <row r="10" spans="1:7" ht="12.75">
      <c r="A10" t="s">
        <v>28</v>
      </c>
      <c r="B10">
        <v>0</v>
      </c>
      <c r="C10">
        <v>7</v>
      </c>
      <c r="D10">
        <v>3.5</v>
      </c>
      <c r="E10">
        <v>94</v>
      </c>
      <c r="F10" s="28">
        <f t="shared" si="0"/>
        <v>5</v>
      </c>
      <c r="G10">
        <v>4.4</v>
      </c>
    </row>
    <row r="11" spans="1:7" ht="12.75">
      <c r="A11" t="s">
        <v>29</v>
      </c>
      <c r="B11">
        <v>4</v>
      </c>
      <c r="C11">
        <v>8</v>
      </c>
      <c r="D11">
        <v>6</v>
      </c>
      <c r="E11" s="31">
        <v>53</v>
      </c>
      <c r="F11" s="30">
        <f t="shared" si="0"/>
        <v>3</v>
      </c>
      <c r="G11" s="31" t="s">
        <v>19</v>
      </c>
    </row>
    <row r="12" spans="1:7" ht="12.75">
      <c r="A12" t="s">
        <v>30</v>
      </c>
      <c r="B12">
        <v>5</v>
      </c>
      <c r="C12">
        <v>9</v>
      </c>
      <c r="D12">
        <v>7</v>
      </c>
      <c r="E12" s="31">
        <v>56</v>
      </c>
      <c r="F12" s="30">
        <f t="shared" si="0"/>
        <v>3</v>
      </c>
      <c r="G12" s="31" t="s">
        <v>19</v>
      </c>
    </row>
    <row r="13" spans="1:7" ht="12.75">
      <c r="A13" t="s">
        <v>31</v>
      </c>
      <c r="B13">
        <v>10</v>
      </c>
      <c r="C13">
        <v>9</v>
      </c>
      <c r="D13">
        <v>9.5</v>
      </c>
      <c r="E13">
        <v>167</v>
      </c>
      <c r="F13" s="28">
        <f t="shared" si="0"/>
        <v>8</v>
      </c>
      <c r="G13">
        <v>8.6</v>
      </c>
    </row>
    <row r="14" spans="1:7" ht="12.75">
      <c r="A14" t="s">
        <v>32</v>
      </c>
      <c r="B14">
        <v>8</v>
      </c>
      <c r="C14">
        <v>10</v>
      </c>
      <c r="D14">
        <v>9</v>
      </c>
      <c r="E14">
        <v>162</v>
      </c>
      <c r="F14" s="28">
        <f t="shared" si="0"/>
        <v>8</v>
      </c>
      <c r="G14">
        <v>8.4</v>
      </c>
    </row>
    <row r="15" spans="1:7" ht="12.75">
      <c r="A15" t="s">
        <v>33</v>
      </c>
      <c r="B15">
        <v>4</v>
      </c>
      <c r="C15">
        <v>8</v>
      </c>
      <c r="D15">
        <v>6</v>
      </c>
      <c r="E15">
        <v>115</v>
      </c>
      <c r="F15" s="28">
        <f t="shared" si="0"/>
        <v>6</v>
      </c>
      <c r="G15">
        <v>6</v>
      </c>
    </row>
    <row r="16" spans="1:7" ht="12.75">
      <c r="A16" t="s">
        <v>34</v>
      </c>
      <c r="B16">
        <v>7</v>
      </c>
      <c r="C16">
        <v>9</v>
      </c>
      <c r="D16">
        <v>8</v>
      </c>
      <c r="E16" s="32">
        <v>105</v>
      </c>
      <c r="F16" s="29">
        <f t="shared" si="0"/>
        <v>5</v>
      </c>
      <c r="G16" s="33" t="s">
        <v>35</v>
      </c>
    </row>
    <row r="17" spans="1:6" ht="12.75">
      <c r="A17" t="s">
        <v>1</v>
      </c>
      <c r="B17">
        <v>0.2</v>
      </c>
      <c r="C17">
        <v>0.2</v>
      </c>
      <c r="F17">
        <v>0.6</v>
      </c>
    </row>
    <row r="19" ht="12.75">
      <c r="A19">
        <v>132</v>
      </c>
    </row>
    <row r="20" spans="1:7" ht="12.75">
      <c r="A20" t="s">
        <v>0</v>
      </c>
      <c r="B20" t="s">
        <v>15</v>
      </c>
      <c r="C20" t="s">
        <v>16</v>
      </c>
      <c r="D20" t="s">
        <v>17</v>
      </c>
      <c r="E20" t="s">
        <v>18</v>
      </c>
      <c r="F20" t="s">
        <v>2</v>
      </c>
      <c r="G20" t="s">
        <v>20</v>
      </c>
    </row>
    <row r="21" spans="1:7" ht="12.75">
      <c r="A21" t="s">
        <v>4</v>
      </c>
      <c r="B21">
        <v>7</v>
      </c>
      <c r="C21">
        <v>9</v>
      </c>
      <c r="D21">
        <v>8</v>
      </c>
      <c r="E21">
        <v>71</v>
      </c>
      <c r="F21" s="28">
        <f aca="true" t="shared" si="1" ref="F21:F32">ROUND(E21/200*10,0)</f>
        <v>4</v>
      </c>
      <c r="G21">
        <v>5.6</v>
      </c>
    </row>
    <row r="22" spans="1:7" ht="12.75">
      <c r="A22" t="s">
        <v>5</v>
      </c>
      <c r="B22">
        <v>5</v>
      </c>
      <c r="C22">
        <v>6</v>
      </c>
      <c r="D22">
        <v>5.5</v>
      </c>
      <c r="E22">
        <v>92</v>
      </c>
      <c r="F22" s="28">
        <f t="shared" si="1"/>
        <v>5</v>
      </c>
      <c r="G22">
        <v>5.2</v>
      </c>
    </row>
    <row r="23" spans="1:7" ht="12.75">
      <c r="A23" t="s">
        <v>6</v>
      </c>
      <c r="B23">
        <v>6</v>
      </c>
      <c r="C23">
        <v>8</v>
      </c>
      <c r="D23">
        <v>7</v>
      </c>
      <c r="E23">
        <v>84</v>
      </c>
      <c r="F23" s="28">
        <f t="shared" si="1"/>
        <v>4</v>
      </c>
      <c r="G23">
        <v>5.2</v>
      </c>
    </row>
    <row r="24" spans="1:7" ht="12.75">
      <c r="A24" t="s">
        <v>7</v>
      </c>
      <c r="B24">
        <v>2</v>
      </c>
      <c r="C24">
        <v>6</v>
      </c>
      <c r="D24">
        <v>4</v>
      </c>
      <c r="E24" s="32">
        <v>80</v>
      </c>
      <c r="F24" s="29">
        <f t="shared" si="1"/>
        <v>4</v>
      </c>
      <c r="G24" s="33" t="s">
        <v>35</v>
      </c>
    </row>
    <row r="25" spans="1:7" ht="12.75">
      <c r="A25" t="s">
        <v>3</v>
      </c>
      <c r="B25">
        <v>5</v>
      </c>
      <c r="C25">
        <v>8</v>
      </c>
      <c r="D25">
        <v>6.5</v>
      </c>
      <c r="E25">
        <v>85</v>
      </c>
      <c r="F25" s="28">
        <f t="shared" si="1"/>
        <v>4</v>
      </c>
      <c r="G25">
        <v>5</v>
      </c>
    </row>
    <row r="26" spans="1:7" ht="12.75">
      <c r="A26" t="s">
        <v>8</v>
      </c>
      <c r="B26">
        <v>3</v>
      </c>
      <c r="C26">
        <v>7</v>
      </c>
      <c r="D26">
        <v>5</v>
      </c>
      <c r="E26" s="31">
        <v>51</v>
      </c>
      <c r="F26" s="30">
        <f t="shared" si="1"/>
        <v>3</v>
      </c>
      <c r="G26" s="31" t="s">
        <v>19</v>
      </c>
    </row>
    <row r="27" spans="1:7" ht="12.75">
      <c r="A27" t="s">
        <v>9</v>
      </c>
      <c r="B27">
        <v>2</v>
      </c>
      <c r="C27">
        <v>8</v>
      </c>
      <c r="D27">
        <v>5</v>
      </c>
      <c r="E27" s="31">
        <v>48</v>
      </c>
      <c r="F27" s="30">
        <f t="shared" si="1"/>
        <v>2</v>
      </c>
      <c r="G27" s="31" t="s">
        <v>19</v>
      </c>
    </row>
    <row r="28" spans="1:7" ht="12.75">
      <c r="A28" t="s">
        <v>10</v>
      </c>
      <c r="B28">
        <v>7</v>
      </c>
      <c r="C28">
        <v>8</v>
      </c>
      <c r="D28">
        <v>7.5</v>
      </c>
      <c r="E28">
        <v>96</v>
      </c>
      <c r="F28" s="28">
        <f t="shared" si="1"/>
        <v>5</v>
      </c>
      <c r="G28">
        <v>6</v>
      </c>
    </row>
    <row r="29" spans="1:7" ht="12.75">
      <c r="A29" t="s">
        <v>11</v>
      </c>
      <c r="B29">
        <v>7</v>
      </c>
      <c r="C29">
        <v>6</v>
      </c>
      <c r="D29">
        <v>6.5</v>
      </c>
      <c r="E29" s="32">
        <v>93</v>
      </c>
      <c r="F29" s="29">
        <f t="shared" si="1"/>
        <v>5</v>
      </c>
      <c r="G29" s="33" t="s">
        <v>35</v>
      </c>
    </row>
    <row r="30" spans="1:7" ht="12.75">
      <c r="A30" t="s">
        <v>12</v>
      </c>
      <c r="B30">
        <v>5</v>
      </c>
      <c r="C30">
        <v>8</v>
      </c>
      <c r="D30">
        <v>6.5</v>
      </c>
      <c r="E30" s="32">
        <v>76</v>
      </c>
      <c r="F30" s="29">
        <f>ROUND(E30/200*10,0)</f>
        <v>4</v>
      </c>
      <c r="G30" s="33" t="s">
        <v>35</v>
      </c>
    </row>
    <row r="31" spans="1:7" ht="12.75">
      <c r="A31" t="s">
        <v>13</v>
      </c>
      <c r="B31">
        <v>6</v>
      </c>
      <c r="C31">
        <v>8</v>
      </c>
      <c r="D31">
        <v>7</v>
      </c>
      <c r="E31">
        <v>113</v>
      </c>
      <c r="F31" s="28">
        <f t="shared" si="1"/>
        <v>6</v>
      </c>
      <c r="G31">
        <v>6.4</v>
      </c>
    </row>
    <row r="32" spans="1:7" ht="12.75">
      <c r="A32" t="s">
        <v>14</v>
      </c>
      <c r="B32">
        <v>5</v>
      </c>
      <c r="C32">
        <v>6</v>
      </c>
      <c r="D32">
        <v>5.5</v>
      </c>
      <c r="E32">
        <v>89</v>
      </c>
      <c r="F32" s="28">
        <f t="shared" si="1"/>
        <v>4</v>
      </c>
      <c r="G32">
        <v>4.6</v>
      </c>
    </row>
    <row r="33" spans="1:6" ht="12.75">
      <c r="A33" t="s">
        <v>1</v>
      </c>
      <c r="B33">
        <v>0.2</v>
      </c>
      <c r="C33">
        <v>0.2</v>
      </c>
      <c r="F33">
        <v>0.6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6.8515625" style="0" customWidth="1"/>
  </cols>
  <sheetData>
    <row r="1" spans="1:3" ht="13.5" thickBot="1">
      <c r="A1" s="1">
        <v>132</v>
      </c>
      <c r="B1" s="89" t="s">
        <v>46</v>
      </c>
      <c r="C1" s="90" t="s">
        <v>47</v>
      </c>
    </row>
    <row r="2" spans="1:3" ht="12.75">
      <c r="A2" s="3" t="s">
        <v>7</v>
      </c>
      <c r="B2" s="91">
        <v>31</v>
      </c>
      <c r="C2" s="92">
        <v>3</v>
      </c>
    </row>
    <row r="3" spans="1:3" ht="12.75">
      <c r="A3" s="3" t="s">
        <v>3</v>
      </c>
      <c r="B3" s="91">
        <v>43</v>
      </c>
      <c r="C3" s="92">
        <v>4</v>
      </c>
    </row>
    <row r="4" spans="1:3" ht="12.75">
      <c r="A4" s="3" t="s">
        <v>8</v>
      </c>
      <c r="B4" s="91">
        <v>43</v>
      </c>
      <c r="C4" s="92">
        <v>4</v>
      </c>
    </row>
    <row r="5" spans="1:3" ht="12.75">
      <c r="A5" s="3" t="s">
        <v>9</v>
      </c>
      <c r="B5" s="91">
        <v>44</v>
      </c>
      <c r="C5" s="92">
        <v>4</v>
      </c>
    </row>
    <row r="6" spans="1:3" ht="12.75">
      <c r="A6" s="3" t="s">
        <v>10</v>
      </c>
      <c r="B6" s="91">
        <v>50</v>
      </c>
      <c r="C6" s="92">
        <v>5</v>
      </c>
    </row>
    <row r="7" spans="1:3" ht="12.75">
      <c r="A7" s="3" t="s">
        <v>12</v>
      </c>
      <c r="B7" s="91">
        <v>43</v>
      </c>
      <c r="C7" s="92">
        <v>4</v>
      </c>
    </row>
    <row r="8" spans="1:3" ht="13.5" thickBot="1">
      <c r="A8" s="97" t="s">
        <v>14</v>
      </c>
      <c r="B8" s="93">
        <v>53</v>
      </c>
      <c r="C8" s="94">
        <v>5</v>
      </c>
    </row>
    <row r="12" ht="13.5" thickBot="1"/>
    <row r="13" spans="1:3" ht="13.5" thickBot="1">
      <c r="A13" s="1">
        <v>133</v>
      </c>
      <c r="B13" s="89" t="s">
        <v>46</v>
      </c>
      <c r="C13" s="90" t="s">
        <v>47</v>
      </c>
    </row>
    <row r="14" spans="1:3" ht="12.75">
      <c r="A14" s="3" t="s">
        <v>22</v>
      </c>
      <c r="B14" s="91">
        <v>52</v>
      </c>
      <c r="C14" s="92">
        <v>5</v>
      </c>
    </row>
    <row r="15" spans="1:3" ht="12.75">
      <c r="A15" s="3" t="s">
        <v>23</v>
      </c>
      <c r="B15" s="91">
        <v>73</v>
      </c>
      <c r="C15" s="92">
        <v>7</v>
      </c>
    </row>
    <row r="16" spans="1:3" ht="12.75">
      <c r="A16" s="3" t="s">
        <v>27</v>
      </c>
      <c r="B16" s="91">
        <v>48</v>
      </c>
      <c r="C16" s="92">
        <v>5</v>
      </c>
    </row>
    <row r="17" spans="1:3" ht="12.75">
      <c r="A17" s="3" t="s">
        <v>28</v>
      </c>
      <c r="B17" s="91"/>
      <c r="C17" s="92"/>
    </row>
    <row r="18" spans="1:3" ht="12.75">
      <c r="A18" s="3" t="s">
        <v>29</v>
      </c>
      <c r="B18" s="91">
        <v>43</v>
      </c>
      <c r="C18" s="92">
        <v>4</v>
      </c>
    </row>
    <row r="19" spans="1:3" ht="12.75">
      <c r="A19" s="3" t="s">
        <v>30</v>
      </c>
      <c r="B19" s="91">
        <v>59</v>
      </c>
      <c r="C19" s="92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BADA</cp:lastModifiedBy>
  <dcterms:created xsi:type="dcterms:W3CDTF">1996-10-08T23:32:33Z</dcterms:created>
  <dcterms:modified xsi:type="dcterms:W3CDTF">2012-09-12T21:03:12Z</dcterms:modified>
  <cp:category/>
  <cp:version/>
  <cp:contentType/>
  <cp:contentStatus/>
</cp:coreProperties>
</file>